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36" sheetId="1" r:id="rId1"/>
  </sheets>
  <definedNames>
    <definedName name="_xlnm.Print_Titles" localSheetId="0">'36'!$3:$3</definedName>
  </definedNames>
  <calcPr fullCalcOnLoad="1"/>
</workbook>
</file>

<file path=xl/sharedStrings.xml><?xml version="1.0" encoding="utf-8"?>
<sst xmlns="http://schemas.openxmlformats.org/spreadsheetml/2006/main" count="70" uniqueCount="34">
  <si>
    <t>総　　　　数</t>
  </si>
  <si>
    <t>皮しじみ</t>
  </si>
  <si>
    <t>その他の貝類</t>
  </si>
  <si>
    <t>その他の魚類</t>
  </si>
  <si>
    <t>資料:滋賀県漁業協同組合連合会</t>
  </si>
  <si>
    <t>ｋｇ</t>
  </si>
  <si>
    <t>平成22年度計</t>
  </si>
  <si>
    <t>平成22年４月</t>
  </si>
  <si>
    <t>平成23年1月</t>
  </si>
  <si>
    <t>活鮎</t>
  </si>
  <si>
    <t>手長えび</t>
  </si>
  <si>
    <t>36　　魚種別月別水揚量</t>
  </si>
  <si>
    <t>ｋｇ</t>
  </si>
  <si>
    <t>こ　　　　い</t>
  </si>
  <si>
    <t>ｋｇ</t>
  </si>
  <si>
    <t>ふ　　　　な</t>
  </si>
  <si>
    <t>-</t>
  </si>
  <si>
    <t>にごろぶな</t>
  </si>
  <si>
    <t>あゆ</t>
  </si>
  <si>
    <t>ｋｇ</t>
  </si>
  <si>
    <t>すじえび</t>
  </si>
  <si>
    <t>ほんもろこ</t>
  </si>
  <si>
    <t>う　な　ぎ</t>
  </si>
  <si>
    <t>は　　　　す</t>
  </si>
  <si>
    <t>ひ　が　い</t>
  </si>
  <si>
    <t>ｋｇ</t>
  </si>
  <si>
    <t>ぎ　　　　ぎ</t>
  </si>
  <si>
    <t>う　ぐ　い</t>
  </si>
  <si>
    <t>すっぽん</t>
  </si>
  <si>
    <t>千円</t>
  </si>
  <si>
    <t>区　　分</t>
  </si>
  <si>
    <t>雑魚</t>
  </si>
  <si>
    <t>はい・おいかわ</t>
  </si>
  <si>
    <t>すごもろこ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</si>
</sst>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_ "/>
    <numFmt numFmtId="180" formatCode="_ * #,##0.0_ ;_ * \-#,##0.0_ ;_ * &quot;-&quot;_ ;_ @_ "/>
    <numFmt numFmtId="181" formatCode="_ * #,##0.0_ ;_ * \-#,##0.0_ ;_ * &quot;-&quot;?_ ;_ @_ "/>
    <numFmt numFmtId="182" formatCode="#,##0_);\(#,##0\)"/>
    <numFmt numFmtId="183" formatCode="_ &quot;¥&quot;* #,##0.0_ ;_ &quot;¥&quot;* \-#,##0.0_ ;_ &quot;¥&quot;* &quot;-&quot;?_ ;_ @_ 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2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176" fontId="0" fillId="0" borderId="0" xfId="0" applyAlignment="1">
      <alignment/>
    </xf>
    <xf numFmtId="176" fontId="5" fillId="0" borderId="0" xfId="0" applyFont="1" applyBorder="1" applyAlignment="1">
      <alignment horizontal="right" vertical="center"/>
    </xf>
    <xf numFmtId="176" fontId="5" fillId="0" borderId="0" xfId="0" applyFont="1" applyFill="1" applyBorder="1" applyAlignment="1">
      <alignment horizontal="right" vertical="center"/>
    </xf>
    <xf numFmtId="176" fontId="6" fillId="0" borderId="0" xfId="0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6" fontId="6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7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176" fontId="5" fillId="0" borderId="0" xfId="0" applyFont="1" applyBorder="1" applyAlignment="1">
      <alignment vertical="center"/>
    </xf>
    <xf numFmtId="176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0" fillId="0" borderId="0" xfId="0" applyFont="1" applyBorder="1" applyAlignment="1">
      <alignment horizontal="right" vertical="center"/>
    </xf>
    <xf numFmtId="176" fontId="7" fillId="0" borderId="10" xfId="0" applyFont="1" applyFill="1" applyBorder="1" applyAlignment="1">
      <alignment vertical="center"/>
    </xf>
    <xf numFmtId="176" fontId="7" fillId="0" borderId="0" xfId="0" applyFont="1" applyFill="1" applyBorder="1" applyAlignment="1">
      <alignment vertical="center"/>
    </xf>
    <xf numFmtId="176" fontId="5" fillId="0" borderId="11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176" fontId="0" fillId="0" borderId="13" xfId="0" applyFont="1" applyBorder="1" applyAlignment="1" quotePrefix="1">
      <alignment horizontal="center" vertical="center" shrinkToFit="1"/>
    </xf>
    <xf numFmtId="176" fontId="0" fillId="0" borderId="14" xfId="0" applyFont="1" applyBorder="1" applyAlignment="1" quotePrefix="1">
      <alignment horizontal="center" vertical="center" shrinkToFit="1"/>
    </xf>
    <xf numFmtId="176" fontId="0" fillId="0" borderId="12" xfId="0" applyFont="1" applyBorder="1" applyAlignment="1" quotePrefix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176" fontId="5" fillId="0" borderId="0" xfId="0" applyFont="1" applyBorder="1" applyAlignment="1">
      <alignment horizontal="distributed" vertical="center" shrinkToFit="1"/>
    </xf>
    <xf numFmtId="180" fontId="5" fillId="0" borderId="15" xfId="0" applyNumberFormat="1" applyFont="1" applyBorder="1" applyAlignment="1">
      <alignment vertical="center" shrinkToFit="1"/>
    </xf>
    <xf numFmtId="176" fontId="5" fillId="0" borderId="16" xfId="0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vertical="center" shrinkToFit="1"/>
    </xf>
    <xf numFmtId="41" fontId="5" fillId="0" borderId="15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vertical="center" shrinkToFit="1"/>
    </xf>
    <xf numFmtId="179" fontId="5" fillId="0" borderId="0" xfId="0" applyNumberFormat="1" applyFont="1" applyAlignment="1">
      <alignment horizontal="distributed" vertical="center" shrinkToFit="1"/>
    </xf>
    <xf numFmtId="176" fontId="5" fillId="0" borderId="0" xfId="0" applyFont="1" applyAlignment="1">
      <alignment vertical="center" shrinkToFit="1"/>
    </xf>
    <xf numFmtId="176" fontId="5" fillId="0" borderId="0" xfId="0" applyFont="1" applyBorder="1" applyAlignment="1" quotePrefix="1">
      <alignment horizontal="distributed" vertical="center" shrinkToFit="1"/>
    </xf>
    <xf numFmtId="176" fontId="5" fillId="0" borderId="10" xfId="0" applyFont="1" applyBorder="1" applyAlignment="1">
      <alignment horizontal="distributed" vertical="center" shrinkToFit="1"/>
    </xf>
    <xf numFmtId="41" fontId="5" fillId="0" borderId="17" xfId="0" applyNumberFormat="1" applyFont="1" applyBorder="1" applyAlignment="1">
      <alignment vertical="center" shrinkToFit="1"/>
    </xf>
    <xf numFmtId="176" fontId="5" fillId="0" borderId="18" xfId="0" applyFont="1" applyBorder="1" applyAlignment="1">
      <alignment horizontal="right" vertical="center" shrinkToFit="1"/>
    </xf>
    <xf numFmtId="41" fontId="5" fillId="0" borderId="17" xfId="0" applyNumberFormat="1" applyFont="1" applyBorder="1" applyAlignment="1">
      <alignment horizontal="right" vertical="center" shrinkToFit="1"/>
    </xf>
    <xf numFmtId="41" fontId="5" fillId="0" borderId="10" xfId="0" applyNumberFormat="1" applyFont="1" applyBorder="1" applyAlignment="1">
      <alignment horizontal="right" vertical="center" shrinkToFit="1"/>
    </xf>
    <xf numFmtId="176" fontId="5" fillId="0" borderId="14" xfId="0" applyFont="1" applyBorder="1" applyAlignment="1" quotePrefix="1">
      <alignment horizontal="center" vertical="center" shrinkToFit="1"/>
    </xf>
    <xf numFmtId="176" fontId="5" fillId="0" borderId="1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D51"/>
  <sheetViews>
    <sheetView tabSelected="1" workbookViewId="0" topLeftCell="A1">
      <selection activeCell="A1" sqref="A1"/>
    </sheetView>
  </sheetViews>
  <sheetFormatPr defaultColWidth="9.140625" defaultRowHeight="12"/>
  <cols>
    <col min="1" max="1" width="15.7109375" style="6" customWidth="1"/>
    <col min="2" max="2" width="11.8515625" style="6" customWidth="1"/>
    <col min="3" max="3" width="5.00390625" style="6" customWidth="1"/>
    <col min="4" max="15" width="9.28125" style="6" customWidth="1"/>
    <col min="16" max="20" width="9.7109375" style="6" customWidth="1"/>
    <col min="21" max="21" width="12.00390625" style="6" bestFit="1" customWidth="1"/>
    <col min="22" max="16384" width="9.140625" style="6" customWidth="1"/>
  </cols>
  <sheetData>
    <row r="1" spans="1:15" ht="24.75" customHeight="1">
      <c r="A1" s="8" t="s">
        <v>11</v>
      </c>
      <c r="B1" s="7"/>
      <c r="C1" s="7"/>
      <c r="D1" s="7"/>
      <c r="E1" s="7"/>
      <c r="F1" s="7"/>
      <c r="G1" s="14"/>
      <c r="H1" s="14"/>
      <c r="I1" s="7"/>
      <c r="J1" s="7"/>
      <c r="K1" s="7"/>
      <c r="L1" s="7"/>
      <c r="M1" s="7"/>
      <c r="N1" s="7"/>
      <c r="O1" s="7"/>
    </row>
    <row r="2" spans="1:15" ht="13.5" customHeight="1" thickBot="1">
      <c r="A2" s="8"/>
      <c r="B2" s="7"/>
      <c r="C2" s="7"/>
      <c r="D2" s="7"/>
      <c r="E2" s="7"/>
      <c r="F2" s="7"/>
      <c r="G2" s="13"/>
      <c r="H2" s="13"/>
      <c r="I2" s="7"/>
      <c r="J2" s="7"/>
      <c r="K2" s="7"/>
      <c r="L2" s="7"/>
      <c r="M2" s="7"/>
      <c r="N2" s="7"/>
      <c r="O2" s="7"/>
    </row>
    <row r="3" spans="1:30" s="10" customFormat="1" ht="16.5" customHeight="1">
      <c r="A3" s="15" t="s">
        <v>30</v>
      </c>
      <c r="B3" s="36" t="s">
        <v>6</v>
      </c>
      <c r="C3" s="37"/>
      <c r="D3" s="16" t="s">
        <v>7</v>
      </c>
      <c r="E3" s="17">
        <v>5</v>
      </c>
      <c r="F3" s="18">
        <v>6</v>
      </c>
      <c r="G3" s="18">
        <v>7</v>
      </c>
      <c r="H3" s="19">
        <v>8</v>
      </c>
      <c r="I3" s="19">
        <v>9</v>
      </c>
      <c r="J3" s="17">
        <v>10</v>
      </c>
      <c r="K3" s="17">
        <v>11</v>
      </c>
      <c r="L3" s="17">
        <v>12</v>
      </c>
      <c r="M3" s="20" t="s">
        <v>8</v>
      </c>
      <c r="N3" s="17">
        <v>2</v>
      </c>
      <c r="O3" s="18">
        <v>3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.75" customHeight="1">
      <c r="A4" s="21" t="s">
        <v>0</v>
      </c>
      <c r="B4" s="22">
        <f aca="true" t="shared" si="0" ref="B4:B23">SUM(D4:O4)</f>
        <v>135767</v>
      </c>
      <c r="C4" s="23" t="s">
        <v>12</v>
      </c>
      <c r="D4" s="24">
        <f aca="true" t="shared" si="1" ref="D4:O4">SUM(D6,D8,D10,D12,D14,D16,D18,D20,D22,D24,D26,D28,D30,D32,D34,D36,D38,D40,D42,D44,)</f>
        <v>12417.6</v>
      </c>
      <c r="E4" s="24">
        <f t="shared" si="1"/>
        <v>12836.3</v>
      </c>
      <c r="F4" s="24">
        <f t="shared" si="1"/>
        <v>14392.399999999996</v>
      </c>
      <c r="G4" s="24">
        <f t="shared" si="1"/>
        <v>17541.799999999996</v>
      </c>
      <c r="H4" s="24">
        <f t="shared" si="1"/>
        <v>10965.499999999998</v>
      </c>
      <c r="I4" s="24">
        <f t="shared" si="1"/>
        <v>3722.000000000001</v>
      </c>
      <c r="J4" s="24">
        <f t="shared" si="1"/>
        <v>6598.000000000001</v>
      </c>
      <c r="K4" s="24">
        <f t="shared" si="1"/>
        <v>8353.3</v>
      </c>
      <c r="L4" s="24">
        <f t="shared" si="1"/>
        <v>17537.699999999997</v>
      </c>
      <c r="M4" s="24">
        <f t="shared" si="1"/>
        <v>5544.6</v>
      </c>
      <c r="N4" s="24">
        <f t="shared" si="1"/>
        <v>8316.099999999999</v>
      </c>
      <c r="O4" s="24">
        <f t="shared" si="1"/>
        <v>17541.7</v>
      </c>
      <c r="P4" s="11"/>
      <c r="W4" s="9"/>
      <c r="X4" s="9"/>
      <c r="Y4" s="9"/>
      <c r="Z4" s="9"/>
      <c r="AA4" s="9"/>
      <c r="AB4" s="9"/>
      <c r="AC4" s="9"/>
      <c r="AD4" s="9"/>
    </row>
    <row r="5" spans="1:16" s="10" customFormat="1" ht="15.75" customHeight="1">
      <c r="A5" s="21"/>
      <c r="B5" s="25">
        <f t="shared" si="0"/>
        <v>111184.799</v>
      </c>
      <c r="C5" s="23" t="s">
        <v>29</v>
      </c>
      <c r="D5" s="26">
        <f>SUM(D7,D9,D11,D13,D15,D17,D19,D21,D23,D25,D27,D29,D31,D33,D35,D37,D39,D41,D43,D45,)</f>
        <v>10165.385</v>
      </c>
      <c r="E5" s="26">
        <f aca="true" t="shared" si="2" ref="E5:O5">SUM(E7,E9,E11,E13,E15,E17,E19,E21,E23,E25,E27,E29,E31,E33,E35,E37,E39,E41,E43,E45,)</f>
        <v>7404.968000000001</v>
      </c>
      <c r="F5" s="26">
        <f t="shared" si="2"/>
        <v>8564.963999999998</v>
      </c>
      <c r="G5" s="26">
        <f t="shared" si="2"/>
        <v>8086.496</v>
      </c>
      <c r="H5" s="26">
        <f t="shared" si="2"/>
        <v>4073.7640000000006</v>
      </c>
      <c r="I5" s="26">
        <f t="shared" si="2"/>
        <v>2592.779</v>
      </c>
      <c r="J5" s="26">
        <f t="shared" si="2"/>
        <v>4259.36</v>
      </c>
      <c r="K5" s="26">
        <f t="shared" si="2"/>
        <v>5968.983</v>
      </c>
      <c r="L5" s="26">
        <f t="shared" si="2"/>
        <v>39767.46899999998</v>
      </c>
      <c r="M5" s="26">
        <f t="shared" si="2"/>
        <v>4983.069</v>
      </c>
      <c r="N5" s="26">
        <f t="shared" si="2"/>
        <v>8160.111000000001</v>
      </c>
      <c r="O5" s="26">
        <f t="shared" si="2"/>
        <v>7157.451000000001</v>
      </c>
      <c r="P5" s="11"/>
    </row>
    <row r="6" spans="1:16" s="10" customFormat="1" ht="15.75" customHeight="1">
      <c r="A6" s="21" t="s">
        <v>13</v>
      </c>
      <c r="B6" s="22">
        <f t="shared" si="0"/>
        <v>262.1</v>
      </c>
      <c r="C6" s="23" t="s">
        <v>14</v>
      </c>
      <c r="D6" s="24">
        <v>40.1</v>
      </c>
      <c r="E6" s="24">
        <v>81.8</v>
      </c>
      <c r="F6" s="24">
        <v>33.8</v>
      </c>
      <c r="G6" s="24">
        <v>4</v>
      </c>
      <c r="H6" s="24">
        <v>16.3</v>
      </c>
      <c r="I6" s="24">
        <v>42.3</v>
      </c>
      <c r="J6" s="24">
        <v>2.4</v>
      </c>
      <c r="K6" s="24">
        <v>24.7</v>
      </c>
      <c r="L6" s="24">
        <v>12.7</v>
      </c>
      <c r="M6" s="24">
        <v>1</v>
      </c>
      <c r="N6" s="24">
        <v>2</v>
      </c>
      <c r="O6" s="24">
        <v>1</v>
      </c>
      <c r="P6" s="11"/>
    </row>
    <row r="7" spans="1:15" s="10" customFormat="1" ht="15.75" customHeight="1">
      <c r="A7" s="21"/>
      <c r="B7" s="25">
        <f t="shared" si="0"/>
        <v>56.722</v>
      </c>
      <c r="C7" s="23" t="s">
        <v>29</v>
      </c>
      <c r="D7" s="26">
        <f>12380*0.001</f>
        <v>12.38</v>
      </c>
      <c r="E7" s="26">
        <f>15530*0.001</f>
        <v>15.530000000000001</v>
      </c>
      <c r="F7" s="26">
        <f>8540*0.001</f>
        <v>8.540000000000001</v>
      </c>
      <c r="G7" s="26">
        <f>400*0.001</f>
        <v>0.4</v>
      </c>
      <c r="H7" s="26">
        <f>6520*0.001</f>
        <v>6.5200000000000005</v>
      </c>
      <c r="I7" s="26">
        <f>9147*0.001</f>
        <v>9.147</v>
      </c>
      <c r="J7" s="26">
        <f>120*0.001</f>
        <v>0.12</v>
      </c>
      <c r="K7" s="26">
        <f>2049*0.001</f>
        <v>2.049</v>
      </c>
      <c r="L7" s="26">
        <f>1428*0.001</f>
        <v>1.428</v>
      </c>
      <c r="M7" s="26">
        <f>100*0.001</f>
        <v>0.1</v>
      </c>
      <c r="N7" s="26">
        <f>408*0.001</f>
        <v>0.40800000000000003</v>
      </c>
      <c r="O7" s="26">
        <f>100*0.001</f>
        <v>0.1</v>
      </c>
    </row>
    <row r="8" spans="1:19" s="10" customFormat="1" ht="15.75" customHeight="1">
      <c r="A8" s="21" t="s">
        <v>15</v>
      </c>
      <c r="B8" s="22">
        <f t="shared" si="0"/>
        <v>2072.6000000000004</v>
      </c>
      <c r="C8" s="23" t="s">
        <v>14</v>
      </c>
      <c r="D8" s="24">
        <v>552</v>
      </c>
      <c r="E8" s="24">
        <v>812.2</v>
      </c>
      <c r="F8" s="24">
        <v>95.7</v>
      </c>
      <c r="G8" s="24">
        <v>152.4</v>
      </c>
      <c r="H8" s="24">
        <v>9.7</v>
      </c>
      <c r="I8" s="24">
        <v>10.6</v>
      </c>
      <c r="J8" s="24">
        <v>45</v>
      </c>
      <c r="K8" s="24">
        <v>95.5</v>
      </c>
      <c r="L8" s="24">
        <v>19.5</v>
      </c>
      <c r="M8" s="24">
        <v>180</v>
      </c>
      <c r="N8" s="27">
        <v>0</v>
      </c>
      <c r="O8" s="24">
        <v>100</v>
      </c>
      <c r="P8" s="11"/>
      <c r="Q8" s="2"/>
      <c r="R8" s="2"/>
      <c r="S8" s="2"/>
    </row>
    <row r="9" spans="1:16" s="10" customFormat="1" ht="15.75" customHeight="1">
      <c r="A9" s="21"/>
      <c r="B9" s="25">
        <f t="shared" si="0"/>
        <v>1204.588</v>
      </c>
      <c r="C9" s="23" t="s">
        <v>29</v>
      </c>
      <c r="D9" s="26">
        <f>179230*0.001</f>
        <v>179.23</v>
      </c>
      <c r="E9" s="26">
        <f>269885*0.001</f>
        <v>269.885</v>
      </c>
      <c r="F9" s="26">
        <f>48520*0.001</f>
        <v>48.52</v>
      </c>
      <c r="G9" s="26">
        <f>103140*0.001</f>
        <v>103.14</v>
      </c>
      <c r="H9" s="26">
        <f>4138*0.001</f>
        <v>4.138</v>
      </c>
      <c r="I9" s="26">
        <f>5300*0.001</f>
        <v>5.3</v>
      </c>
      <c r="J9" s="26">
        <f>45000*0.001</f>
        <v>45</v>
      </c>
      <c r="K9" s="26">
        <f>287500*0.001</f>
        <v>287.5</v>
      </c>
      <c r="L9" s="26">
        <f>16875*0.001</f>
        <v>16.875</v>
      </c>
      <c r="M9" s="26">
        <f>180000*0.001</f>
        <v>180</v>
      </c>
      <c r="N9" s="26">
        <v>0</v>
      </c>
      <c r="O9" s="26">
        <f>65000*0.001</f>
        <v>65</v>
      </c>
      <c r="P9" s="11"/>
    </row>
    <row r="10" spans="1:15" s="10" customFormat="1" ht="15.75" customHeight="1">
      <c r="A10" s="28" t="s">
        <v>17</v>
      </c>
      <c r="B10" s="22">
        <f t="shared" si="0"/>
        <v>2117</v>
      </c>
      <c r="C10" s="23" t="s">
        <v>14</v>
      </c>
      <c r="D10" s="24">
        <v>709</v>
      </c>
      <c r="E10" s="24">
        <v>20</v>
      </c>
      <c r="F10" s="24">
        <v>70</v>
      </c>
      <c r="G10" s="24">
        <v>150</v>
      </c>
      <c r="H10" s="27">
        <v>0</v>
      </c>
      <c r="I10" s="27">
        <v>0</v>
      </c>
      <c r="J10" s="27">
        <v>0</v>
      </c>
      <c r="K10" s="24">
        <v>30</v>
      </c>
      <c r="L10" s="27">
        <v>0</v>
      </c>
      <c r="M10" s="24">
        <v>24.6</v>
      </c>
      <c r="N10" s="24">
        <v>159.4</v>
      </c>
      <c r="O10" s="24">
        <v>954</v>
      </c>
    </row>
    <row r="11" spans="1:15" s="10" customFormat="1" ht="15.75" customHeight="1">
      <c r="A11" s="29"/>
      <c r="B11" s="25">
        <f t="shared" si="0"/>
        <v>3111.815</v>
      </c>
      <c r="C11" s="23" t="s">
        <v>29</v>
      </c>
      <c r="D11" s="26">
        <f>1218815*0.001</f>
        <v>1218.815</v>
      </c>
      <c r="E11" s="26">
        <f>50000*0.001</f>
        <v>50</v>
      </c>
      <c r="F11" s="26">
        <f>280000*0.001</f>
        <v>280</v>
      </c>
      <c r="G11" s="26">
        <f>400000*0.001</f>
        <v>400</v>
      </c>
      <c r="H11" s="26">
        <v>0</v>
      </c>
      <c r="I11" s="26">
        <v>0</v>
      </c>
      <c r="J11" s="26">
        <v>0</v>
      </c>
      <c r="K11" s="26">
        <f>9000*0.001</f>
        <v>9</v>
      </c>
      <c r="L11" s="26">
        <v>0</v>
      </c>
      <c r="M11" s="26">
        <f>9440*0.001</f>
        <v>9.44</v>
      </c>
      <c r="N11" s="26">
        <f>96446*0.001</f>
        <v>96.446</v>
      </c>
      <c r="O11" s="26">
        <f>1048114*0.001</f>
        <v>1048.114</v>
      </c>
    </row>
    <row r="12" spans="1:16" s="10" customFormat="1" ht="15.75" customHeight="1">
      <c r="A12" s="21" t="s">
        <v>9</v>
      </c>
      <c r="B12" s="22">
        <f t="shared" si="0"/>
        <v>21111</v>
      </c>
      <c r="C12" s="23" t="s">
        <v>5</v>
      </c>
      <c r="D12" s="24">
        <v>1471</v>
      </c>
      <c r="E12" s="24">
        <v>2194.5</v>
      </c>
      <c r="F12" s="24">
        <v>4531</v>
      </c>
      <c r="G12" s="24">
        <v>1643</v>
      </c>
      <c r="H12" s="24">
        <v>299</v>
      </c>
      <c r="I12" s="27">
        <v>0</v>
      </c>
      <c r="J12" s="27">
        <v>0</v>
      </c>
      <c r="K12" s="26">
        <v>0</v>
      </c>
      <c r="L12" s="24">
        <v>8992</v>
      </c>
      <c r="M12" s="24">
        <v>740</v>
      </c>
      <c r="N12" s="24">
        <v>987.5</v>
      </c>
      <c r="O12" s="24">
        <v>253</v>
      </c>
      <c r="P12" s="11"/>
    </row>
    <row r="13" spans="1:16" s="10" customFormat="1" ht="15.75" customHeight="1">
      <c r="A13" s="21"/>
      <c r="B13" s="25">
        <f t="shared" si="0"/>
        <v>46296.15</v>
      </c>
      <c r="C13" s="23" t="s">
        <v>29</v>
      </c>
      <c r="D13" s="26">
        <f>1765200*0.001</f>
        <v>1765.2</v>
      </c>
      <c r="E13" s="26">
        <f>1840800*0.001</f>
        <v>1840.8</v>
      </c>
      <c r="F13" s="26">
        <f>3624800*0.001</f>
        <v>3624.8</v>
      </c>
      <c r="G13" s="26">
        <f>1314400*0.001</f>
        <v>1314.4</v>
      </c>
      <c r="H13" s="26">
        <f>239200*0.001</f>
        <v>239.20000000000002</v>
      </c>
      <c r="I13" s="26">
        <v>0</v>
      </c>
      <c r="J13" s="26">
        <v>0</v>
      </c>
      <c r="K13" s="26">
        <v>0</v>
      </c>
      <c r="L13" s="26">
        <f>34169600*0.001</f>
        <v>34169.6</v>
      </c>
      <c r="M13" s="26">
        <f>1258000*0.001</f>
        <v>1258</v>
      </c>
      <c r="N13" s="26">
        <f>1678750*0.001</f>
        <v>1678.75</v>
      </c>
      <c r="O13" s="26">
        <f>405400*0.001</f>
        <v>405.40000000000003</v>
      </c>
      <c r="P13" s="11"/>
    </row>
    <row r="14" spans="1:16" s="10" customFormat="1" ht="15.75" customHeight="1">
      <c r="A14" s="21" t="s">
        <v>18</v>
      </c>
      <c r="B14" s="22">
        <f t="shared" si="0"/>
        <v>47547.799999999996</v>
      </c>
      <c r="C14" s="23" t="s">
        <v>14</v>
      </c>
      <c r="D14" s="24">
        <v>6117</v>
      </c>
      <c r="E14" s="24">
        <v>8119</v>
      </c>
      <c r="F14" s="24">
        <v>7846</v>
      </c>
      <c r="G14" s="24">
        <v>13730.4</v>
      </c>
      <c r="H14" s="24">
        <v>9366.3</v>
      </c>
      <c r="I14" s="27">
        <v>0</v>
      </c>
      <c r="J14" s="27">
        <v>0</v>
      </c>
      <c r="K14" s="26">
        <v>0</v>
      </c>
      <c r="L14" s="27">
        <v>0</v>
      </c>
      <c r="M14" s="24">
        <v>120.4</v>
      </c>
      <c r="N14" s="24">
        <v>1486</v>
      </c>
      <c r="O14" s="24">
        <v>762.7</v>
      </c>
      <c r="P14" s="11"/>
    </row>
    <row r="15" spans="1:16" s="10" customFormat="1" ht="15.75" customHeight="1">
      <c r="A15" s="21"/>
      <c r="B15" s="25">
        <f t="shared" si="0"/>
        <v>21299.836000000003</v>
      </c>
      <c r="C15" s="23" t="s">
        <v>29</v>
      </c>
      <c r="D15" s="26">
        <f>4679577*0.001</f>
        <v>4679.577</v>
      </c>
      <c r="E15" s="26">
        <f>3825115*0.001</f>
        <v>3825.1150000000002</v>
      </c>
      <c r="F15" s="26">
        <f>2073336*0.001</f>
        <v>2073.3360000000002</v>
      </c>
      <c r="G15" s="26">
        <f>3833479*0.001</f>
        <v>3833.4790000000003</v>
      </c>
      <c r="H15" s="26">
        <f>2524361*0.001</f>
        <v>2524.361</v>
      </c>
      <c r="I15" s="26">
        <v>0</v>
      </c>
      <c r="J15" s="26">
        <v>0</v>
      </c>
      <c r="K15" s="26">
        <v>0</v>
      </c>
      <c r="L15" s="26">
        <v>0</v>
      </c>
      <c r="M15" s="26">
        <f>285877*0.001</f>
        <v>285.877</v>
      </c>
      <c r="N15" s="26">
        <f>2841971*0.001</f>
        <v>2841.971</v>
      </c>
      <c r="O15" s="26">
        <f>1236120*0.001</f>
        <v>1236.1200000000001</v>
      </c>
      <c r="P15" s="11"/>
    </row>
    <row r="16" spans="1:16" s="10" customFormat="1" ht="15.75" customHeight="1">
      <c r="A16" s="21" t="s">
        <v>31</v>
      </c>
      <c r="B16" s="22">
        <f t="shared" si="0"/>
        <v>23324.6</v>
      </c>
      <c r="C16" s="23" t="s">
        <v>14</v>
      </c>
      <c r="D16" s="24">
        <v>892.3</v>
      </c>
      <c r="E16" s="24">
        <v>123.4</v>
      </c>
      <c r="F16" s="24">
        <v>54.8</v>
      </c>
      <c r="G16" s="24">
        <v>168.3</v>
      </c>
      <c r="H16" s="24">
        <v>9</v>
      </c>
      <c r="I16" s="24">
        <v>2702.3</v>
      </c>
      <c r="J16" s="24">
        <v>3837.9</v>
      </c>
      <c r="K16" s="24">
        <v>4008.3</v>
      </c>
      <c r="L16" s="24">
        <v>4877</v>
      </c>
      <c r="M16" s="24">
        <v>2054.5</v>
      </c>
      <c r="N16" s="24">
        <v>2658.3</v>
      </c>
      <c r="O16" s="24">
        <v>1938.5</v>
      </c>
      <c r="P16" s="11"/>
    </row>
    <row r="17" spans="1:16" s="10" customFormat="1" ht="15.75" customHeight="1">
      <c r="A17" s="21"/>
      <c r="B17" s="25">
        <f t="shared" si="0"/>
        <v>18881.644</v>
      </c>
      <c r="C17" s="23" t="s">
        <v>29</v>
      </c>
      <c r="D17" s="26">
        <f>659254*0.001</f>
        <v>659.254</v>
      </c>
      <c r="E17" s="26">
        <f>43676*0.001</f>
        <v>43.676</v>
      </c>
      <c r="F17" s="26">
        <f>22088*0.001</f>
        <v>22.088</v>
      </c>
      <c r="G17" s="26">
        <f>31035*0.001</f>
        <v>31.035</v>
      </c>
      <c r="H17" s="26">
        <f>550*0.001</f>
        <v>0.55</v>
      </c>
      <c r="I17" s="26">
        <f>1299256*0.001</f>
        <v>1299.256</v>
      </c>
      <c r="J17" s="26">
        <f>2190389*0.001</f>
        <v>2190.389</v>
      </c>
      <c r="K17" s="26">
        <f>3444725*0.001</f>
        <v>3444.725</v>
      </c>
      <c r="L17" s="26">
        <f>4147053*0.001</f>
        <v>4147.053</v>
      </c>
      <c r="M17" s="26">
        <f>2233947*0.001</f>
        <v>2233.947</v>
      </c>
      <c r="N17" s="26">
        <f>2325097*0.001</f>
        <v>2325.097</v>
      </c>
      <c r="O17" s="26">
        <f>2484574*0.001</f>
        <v>2484.574</v>
      </c>
      <c r="P17" s="11"/>
    </row>
    <row r="18" spans="1:16" s="10" customFormat="1" ht="15.75" customHeight="1">
      <c r="A18" s="21" t="s">
        <v>10</v>
      </c>
      <c r="B18" s="22">
        <f t="shared" si="0"/>
        <v>81.3</v>
      </c>
      <c r="C18" s="23" t="s">
        <v>19</v>
      </c>
      <c r="D18" s="27">
        <v>0</v>
      </c>
      <c r="E18" s="24">
        <v>0.7</v>
      </c>
      <c r="F18" s="24">
        <v>10.8</v>
      </c>
      <c r="G18" s="27">
        <v>0</v>
      </c>
      <c r="H18" s="27">
        <v>0</v>
      </c>
      <c r="I18" s="27">
        <v>0</v>
      </c>
      <c r="J18" s="24">
        <v>34.4</v>
      </c>
      <c r="K18" s="24">
        <v>31.4</v>
      </c>
      <c r="L18" s="24">
        <v>2.3</v>
      </c>
      <c r="M18" s="27">
        <v>0</v>
      </c>
      <c r="N18" s="27">
        <v>0</v>
      </c>
      <c r="O18" s="24">
        <v>1.7</v>
      </c>
      <c r="P18" s="11"/>
    </row>
    <row r="19" spans="1:16" s="10" customFormat="1" ht="15.75" customHeight="1">
      <c r="A19" s="21"/>
      <c r="B19" s="25">
        <f t="shared" si="0"/>
        <v>321.971</v>
      </c>
      <c r="C19" s="23" t="s">
        <v>29</v>
      </c>
      <c r="D19" s="27">
        <v>0</v>
      </c>
      <c r="E19" s="26">
        <f>2100*0.001</f>
        <v>2.1</v>
      </c>
      <c r="F19" s="26">
        <f>26450*0.001</f>
        <v>26.45</v>
      </c>
      <c r="G19" s="26">
        <v>0</v>
      </c>
      <c r="H19" s="26">
        <v>0</v>
      </c>
      <c r="I19" s="26">
        <v>0</v>
      </c>
      <c r="J19" s="26">
        <f>140173*0.001</f>
        <v>140.173</v>
      </c>
      <c r="K19" s="26">
        <f>142310*0.001</f>
        <v>142.31</v>
      </c>
      <c r="L19" s="26">
        <f>7020*0.001</f>
        <v>7.0200000000000005</v>
      </c>
      <c r="M19" s="26">
        <v>0</v>
      </c>
      <c r="N19" s="26">
        <v>0</v>
      </c>
      <c r="O19" s="26">
        <f>3918*0.001</f>
        <v>3.918</v>
      </c>
      <c r="P19" s="11"/>
    </row>
    <row r="20" spans="1:16" s="10" customFormat="1" ht="15.75" customHeight="1">
      <c r="A20" s="21" t="s">
        <v>20</v>
      </c>
      <c r="B20" s="22">
        <f t="shared" si="0"/>
        <v>544.3999999999999</v>
      </c>
      <c r="C20" s="23" t="s">
        <v>14</v>
      </c>
      <c r="D20" s="24">
        <v>1</v>
      </c>
      <c r="E20" s="24">
        <v>3.4</v>
      </c>
      <c r="F20" s="24">
        <v>20.9</v>
      </c>
      <c r="G20" s="24">
        <v>76.3</v>
      </c>
      <c r="H20" s="24">
        <v>21.4</v>
      </c>
      <c r="I20" s="24">
        <v>110.9</v>
      </c>
      <c r="J20" s="24">
        <v>123.7</v>
      </c>
      <c r="K20" s="24">
        <v>17.4</v>
      </c>
      <c r="L20" s="24">
        <v>12.4</v>
      </c>
      <c r="M20" s="24">
        <v>40.4</v>
      </c>
      <c r="N20" s="24">
        <v>97.3</v>
      </c>
      <c r="O20" s="24">
        <v>19.3</v>
      </c>
      <c r="P20" s="11"/>
    </row>
    <row r="21" spans="1:16" s="10" customFormat="1" ht="15.75" customHeight="1">
      <c r="A21" s="21"/>
      <c r="B21" s="25">
        <f t="shared" si="0"/>
        <v>807.899</v>
      </c>
      <c r="C21" s="23" t="s">
        <v>29</v>
      </c>
      <c r="D21" s="26">
        <f>515*0.001</f>
        <v>0.515</v>
      </c>
      <c r="E21" s="26">
        <f>1790*0.001</f>
        <v>1.79</v>
      </c>
      <c r="F21" s="26">
        <f>20900*0.001</f>
        <v>20.900000000000002</v>
      </c>
      <c r="G21" s="26">
        <f>119420*0.001</f>
        <v>119.42</v>
      </c>
      <c r="H21" s="26">
        <f>15905*0.001</f>
        <v>15.905000000000001</v>
      </c>
      <c r="I21" s="26">
        <f>148062*0.001</f>
        <v>148.062</v>
      </c>
      <c r="J21" s="26">
        <f>174794*0.001</f>
        <v>174.794</v>
      </c>
      <c r="K21" s="26">
        <f>28932*0.001</f>
        <v>28.932000000000002</v>
      </c>
      <c r="L21" s="26">
        <f>31164*0.001</f>
        <v>31.164</v>
      </c>
      <c r="M21" s="26">
        <f>87814*0.001</f>
        <v>87.81400000000001</v>
      </c>
      <c r="N21" s="26">
        <f>147057*0.001</f>
        <v>147.05700000000002</v>
      </c>
      <c r="O21" s="26">
        <f>31546*0.001</f>
        <v>31.546</v>
      </c>
      <c r="P21" s="11"/>
    </row>
    <row r="22" spans="1:16" s="10" customFormat="1" ht="15.75" customHeight="1">
      <c r="A22" s="21" t="s">
        <v>21</v>
      </c>
      <c r="B22" s="22">
        <f t="shared" si="0"/>
        <v>9465</v>
      </c>
      <c r="C22" s="23" t="s">
        <v>14</v>
      </c>
      <c r="D22" s="24">
        <v>56</v>
      </c>
      <c r="E22" s="24">
        <v>1.3</v>
      </c>
      <c r="F22" s="24">
        <v>1.5</v>
      </c>
      <c r="G22" s="24">
        <v>5.4</v>
      </c>
      <c r="H22" s="24">
        <v>103</v>
      </c>
      <c r="I22" s="24">
        <v>129.8</v>
      </c>
      <c r="J22" s="24">
        <v>176.5</v>
      </c>
      <c r="K22" s="24">
        <v>256</v>
      </c>
      <c r="L22" s="24">
        <v>12.3</v>
      </c>
      <c r="M22" s="24">
        <v>7.3</v>
      </c>
      <c r="N22" s="24">
        <v>14.9</v>
      </c>
      <c r="O22" s="24">
        <v>8701</v>
      </c>
      <c r="P22" s="11"/>
    </row>
    <row r="23" spans="1:16" s="10" customFormat="1" ht="15.75" customHeight="1">
      <c r="A23" s="21"/>
      <c r="B23" s="25">
        <f t="shared" si="0"/>
        <v>1716.431</v>
      </c>
      <c r="C23" s="23" t="s">
        <v>29</v>
      </c>
      <c r="D23" s="26">
        <f>213100*0.001</f>
        <v>213.1</v>
      </c>
      <c r="E23" s="26">
        <f>4800*0.001</f>
        <v>4.8</v>
      </c>
      <c r="F23" s="26">
        <f>5200*0.001</f>
        <v>5.2</v>
      </c>
      <c r="G23" s="26">
        <f>7324*0.001</f>
        <v>7.324</v>
      </c>
      <c r="H23" s="26">
        <f>156005*0.001</f>
        <v>156.005</v>
      </c>
      <c r="I23" s="26">
        <f>191056*0.001</f>
        <v>191.056</v>
      </c>
      <c r="J23" s="26">
        <f>273575*0.001</f>
        <v>273.575</v>
      </c>
      <c r="K23" s="26">
        <f>515570*0.001</f>
        <v>515.57</v>
      </c>
      <c r="L23" s="26">
        <f>30645*0.001</f>
        <v>30.645</v>
      </c>
      <c r="M23" s="26">
        <f>26096*0.001</f>
        <v>26.096</v>
      </c>
      <c r="N23" s="26">
        <f>42550*0.001</f>
        <v>42.550000000000004</v>
      </c>
      <c r="O23" s="26">
        <f>250510*0.001</f>
        <v>250.51000000000002</v>
      </c>
      <c r="P23" s="11"/>
    </row>
    <row r="24" spans="1:16" s="10" customFormat="1" ht="15.75" customHeight="1">
      <c r="A24" s="21" t="s">
        <v>33</v>
      </c>
      <c r="B24" s="22">
        <f>SUM(D24:P24)</f>
        <v>4419.700000000001</v>
      </c>
      <c r="C24" s="23" t="s">
        <v>14</v>
      </c>
      <c r="D24" s="24">
        <v>208</v>
      </c>
      <c r="E24" s="24">
        <v>10</v>
      </c>
      <c r="F24" s="24">
        <v>3</v>
      </c>
      <c r="G24" s="24">
        <v>79</v>
      </c>
      <c r="H24" s="24">
        <v>20</v>
      </c>
      <c r="I24" s="24">
        <v>116</v>
      </c>
      <c r="J24" s="24">
        <v>582.6</v>
      </c>
      <c r="K24" s="24">
        <v>1024.7</v>
      </c>
      <c r="L24" s="24">
        <v>1206</v>
      </c>
      <c r="M24" s="24">
        <v>220</v>
      </c>
      <c r="N24" s="24">
        <v>371.4</v>
      </c>
      <c r="O24" s="24">
        <v>579</v>
      </c>
      <c r="P24" s="11"/>
    </row>
    <row r="25" spans="1:15" s="10" customFormat="1" ht="15.75" customHeight="1">
      <c r="A25" s="21"/>
      <c r="B25" s="25">
        <f aca="true" t="shared" si="3" ref="B25:B45">SUM(D25:O25)</f>
        <v>1663.053</v>
      </c>
      <c r="C25" s="23" t="s">
        <v>29</v>
      </c>
      <c r="D25" s="26">
        <f>212720*0.001</f>
        <v>212.72</v>
      </c>
      <c r="E25" s="26">
        <f>10200*0.001</f>
        <v>10.200000000000001</v>
      </c>
      <c r="F25" s="26">
        <f>2350*0.001</f>
        <v>2.35</v>
      </c>
      <c r="G25" s="26">
        <f>43832*0.001</f>
        <v>43.832</v>
      </c>
      <c r="H25" s="26">
        <f>21545*0.001</f>
        <v>21.545</v>
      </c>
      <c r="I25" s="26">
        <f>66766*0.001</f>
        <v>66.766</v>
      </c>
      <c r="J25" s="26">
        <f>207605*0.001</f>
        <v>207.60500000000002</v>
      </c>
      <c r="K25" s="26">
        <f>273017*0.001</f>
        <v>273.017</v>
      </c>
      <c r="L25" s="26">
        <f>339183*0.001</f>
        <v>339.183</v>
      </c>
      <c r="M25" s="26">
        <f>98546*0.001</f>
        <v>98.546</v>
      </c>
      <c r="N25" s="26">
        <f>206325*0.001</f>
        <v>206.32500000000002</v>
      </c>
      <c r="O25" s="26">
        <f>180964*0.001</f>
        <v>180.964</v>
      </c>
    </row>
    <row r="26" spans="1:15" s="10" customFormat="1" ht="15.75" customHeight="1">
      <c r="A26" s="21" t="s">
        <v>22</v>
      </c>
      <c r="B26" s="22">
        <f t="shared" si="3"/>
        <v>1328.9000000000003</v>
      </c>
      <c r="C26" s="23" t="s">
        <v>14</v>
      </c>
      <c r="D26" s="24">
        <v>17</v>
      </c>
      <c r="E26" s="24">
        <v>134.2</v>
      </c>
      <c r="F26" s="24">
        <v>392.8</v>
      </c>
      <c r="G26" s="24">
        <v>377.4</v>
      </c>
      <c r="H26" s="24">
        <v>126.4</v>
      </c>
      <c r="I26" s="24">
        <v>119.4</v>
      </c>
      <c r="J26" s="24">
        <v>92.2</v>
      </c>
      <c r="K26" s="24">
        <v>21.4</v>
      </c>
      <c r="L26" s="24">
        <v>20.7</v>
      </c>
      <c r="M26" s="27">
        <v>0</v>
      </c>
      <c r="N26" s="24">
        <v>1.4</v>
      </c>
      <c r="O26" s="24">
        <v>26</v>
      </c>
    </row>
    <row r="27" spans="1:16" s="10" customFormat="1" ht="15.75" customHeight="1">
      <c r="A27" s="21"/>
      <c r="B27" s="25">
        <f t="shared" si="3"/>
        <v>3937.365</v>
      </c>
      <c r="C27" s="23" t="s">
        <v>29</v>
      </c>
      <c r="D27" s="27">
        <f>43188*0.001</f>
        <v>43.188</v>
      </c>
      <c r="E27" s="26">
        <f>410070*0.001</f>
        <v>410.07</v>
      </c>
      <c r="F27" s="26">
        <f>1173053*0.001</f>
        <v>1173.053</v>
      </c>
      <c r="G27" s="26">
        <f>1133452*0.001</f>
        <v>1133.452</v>
      </c>
      <c r="H27" s="26">
        <f>360843*0.001</f>
        <v>360.843</v>
      </c>
      <c r="I27" s="26">
        <f>352892*0.001</f>
        <v>352.892</v>
      </c>
      <c r="J27" s="26">
        <f>267583*0.001</f>
        <v>267.583</v>
      </c>
      <c r="K27" s="26">
        <f>59170*0.001</f>
        <v>59.17</v>
      </c>
      <c r="L27" s="26">
        <f>57628*0.001</f>
        <v>57.628</v>
      </c>
      <c r="M27" s="26">
        <v>0</v>
      </c>
      <c r="N27" s="26">
        <f>1486*0.001</f>
        <v>1.486</v>
      </c>
      <c r="O27" s="26">
        <f>78000*0.001</f>
        <v>78</v>
      </c>
      <c r="P27" s="11"/>
    </row>
    <row r="28" spans="1:16" s="10" customFormat="1" ht="15.75" customHeight="1">
      <c r="A28" s="21" t="s">
        <v>23</v>
      </c>
      <c r="B28" s="22">
        <f t="shared" si="3"/>
        <v>5118</v>
      </c>
      <c r="C28" s="23" t="s">
        <v>14</v>
      </c>
      <c r="D28" s="24">
        <v>256.1</v>
      </c>
      <c r="E28" s="24">
        <v>39</v>
      </c>
      <c r="F28" s="24">
        <v>7.3</v>
      </c>
      <c r="G28" s="24">
        <v>5.8</v>
      </c>
      <c r="H28" s="27">
        <v>0</v>
      </c>
      <c r="I28" s="24">
        <v>8.3</v>
      </c>
      <c r="J28" s="24">
        <v>144.7</v>
      </c>
      <c r="K28" s="24">
        <v>1191.9</v>
      </c>
      <c r="L28" s="24">
        <v>878.9</v>
      </c>
      <c r="M28" s="24">
        <v>577</v>
      </c>
      <c r="N28" s="24">
        <v>960</v>
      </c>
      <c r="O28" s="24">
        <v>1049</v>
      </c>
      <c r="P28" s="11"/>
    </row>
    <row r="29" spans="1:15" s="10" customFormat="1" ht="15.75" customHeight="1">
      <c r="A29" s="21"/>
      <c r="B29" s="25">
        <f t="shared" si="3"/>
        <v>728.6700000000001</v>
      </c>
      <c r="C29" s="23" t="s">
        <v>29</v>
      </c>
      <c r="D29" s="26">
        <f>32770*0.001</f>
        <v>32.77</v>
      </c>
      <c r="E29" s="26">
        <f>3885*0.001</f>
        <v>3.8850000000000002</v>
      </c>
      <c r="F29" s="26">
        <f>740*0.001</f>
        <v>0.74</v>
      </c>
      <c r="G29" s="26">
        <f>424*0.001</f>
        <v>0.424</v>
      </c>
      <c r="H29" s="26">
        <v>0</v>
      </c>
      <c r="I29" s="26">
        <f>1652*0.001</f>
        <v>1.6520000000000001</v>
      </c>
      <c r="J29" s="26">
        <f>34976*0.001</f>
        <v>34.976</v>
      </c>
      <c r="K29" s="26">
        <f>184314*0.001</f>
        <v>184.314</v>
      </c>
      <c r="L29" s="26">
        <f>160888*0.001</f>
        <v>160.888</v>
      </c>
      <c r="M29" s="26">
        <f>91662*0.001</f>
        <v>91.662</v>
      </c>
      <c r="N29" s="26">
        <f>117220*0.001</f>
        <v>117.22</v>
      </c>
      <c r="O29" s="26">
        <f>100139*0.001</f>
        <v>100.139</v>
      </c>
    </row>
    <row r="30" spans="1:16" s="10" customFormat="1" ht="15.75" customHeight="1">
      <c r="A30" s="21" t="s">
        <v>24</v>
      </c>
      <c r="B30" s="22">
        <f t="shared" si="3"/>
        <v>245.79999999999998</v>
      </c>
      <c r="C30" s="23" t="s">
        <v>14</v>
      </c>
      <c r="D30" s="24">
        <v>6.7</v>
      </c>
      <c r="E30" s="27">
        <v>0</v>
      </c>
      <c r="F30" s="27">
        <v>0</v>
      </c>
      <c r="G30" s="27">
        <v>0</v>
      </c>
      <c r="H30" s="27">
        <v>0</v>
      </c>
      <c r="I30" s="24">
        <v>8.4</v>
      </c>
      <c r="J30" s="24">
        <v>129.6</v>
      </c>
      <c r="K30" s="24">
        <v>83</v>
      </c>
      <c r="L30" s="24">
        <v>8.4</v>
      </c>
      <c r="M30" s="24">
        <v>1</v>
      </c>
      <c r="N30" s="24">
        <v>1.7</v>
      </c>
      <c r="O30" s="24">
        <v>7</v>
      </c>
      <c r="P30" s="11"/>
    </row>
    <row r="31" spans="1:16" s="10" customFormat="1" ht="15.75" customHeight="1">
      <c r="A31" s="21"/>
      <c r="B31" s="25">
        <f t="shared" si="3"/>
        <v>56.073</v>
      </c>
      <c r="C31" s="23" t="s">
        <v>29</v>
      </c>
      <c r="D31" s="26">
        <f>2478*0.001</f>
        <v>2.478</v>
      </c>
      <c r="E31" s="26">
        <v>0</v>
      </c>
      <c r="F31" s="26">
        <v>0</v>
      </c>
      <c r="G31" s="26">
        <v>0</v>
      </c>
      <c r="H31" s="26">
        <v>0</v>
      </c>
      <c r="I31" s="26">
        <f>2712*0.001</f>
        <v>2.712</v>
      </c>
      <c r="J31" s="26">
        <f>29173*0.001</f>
        <v>29.173000000000002</v>
      </c>
      <c r="K31" s="26">
        <f>16504*0.001</f>
        <v>16.504</v>
      </c>
      <c r="L31" s="26">
        <f>2284*0.001</f>
        <v>2.2840000000000003</v>
      </c>
      <c r="M31" s="26">
        <f>300*0.001</f>
        <v>0.3</v>
      </c>
      <c r="N31" s="26">
        <f>372*0.001</f>
        <v>0.372</v>
      </c>
      <c r="O31" s="26">
        <f>2250*0.001</f>
        <v>2.25</v>
      </c>
      <c r="P31" s="11"/>
    </row>
    <row r="32" spans="1:16" s="10" customFormat="1" ht="15.75" customHeight="1">
      <c r="A32" s="21" t="s">
        <v>1</v>
      </c>
      <c r="B32" s="22">
        <f t="shared" si="3"/>
        <v>14790.2</v>
      </c>
      <c r="C32" s="23" t="s">
        <v>25</v>
      </c>
      <c r="D32" s="24">
        <v>1609.6</v>
      </c>
      <c r="E32" s="24">
        <v>565.5</v>
      </c>
      <c r="F32" s="24">
        <v>938.5</v>
      </c>
      <c r="G32" s="24">
        <v>954.4</v>
      </c>
      <c r="H32" s="24">
        <v>594.4</v>
      </c>
      <c r="I32" s="24">
        <v>252.9</v>
      </c>
      <c r="J32" s="24">
        <v>898.1</v>
      </c>
      <c r="K32" s="24">
        <v>1465.5</v>
      </c>
      <c r="L32" s="24">
        <v>1359</v>
      </c>
      <c r="M32" s="24">
        <v>1534.6</v>
      </c>
      <c r="N32" s="24">
        <v>1513.4</v>
      </c>
      <c r="O32" s="24">
        <v>3104.3</v>
      </c>
      <c r="P32" s="11"/>
    </row>
    <row r="33" spans="1:15" s="10" customFormat="1" ht="15.75" customHeight="1">
      <c r="A33" s="21"/>
      <c r="B33" s="25">
        <f t="shared" si="3"/>
        <v>9146.069</v>
      </c>
      <c r="C33" s="23" t="s">
        <v>29</v>
      </c>
      <c r="D33" s="26">
        <f>978107*0.001</f>
        <v>978.107</v>
      </c>
      <c r="E33" s="26">
        <f>674850*0.001</f>
        <v>674.85</v>
      </c>
      <c r="F33" s="26">
        <f>1101500*0.001</f>
        <v>1101.5</v>
      </c>
      <c r="G33" s="26">
        <f>1034250*0.001</f>
        <v>1034.25</v>
      </c>
      <c r="H33" s="26">
        <f>352438*0.001</f>
        <v>352.438</v>
      </c>
      <c r="I33" s="26">
        <f>309675*0.001</f>
        <v>309.675</v>
      </c>
      <c r="J33" s="26">
        <f>500267*0.001</f>
        <v>500.267</v>
      </c>
      <c r="K33" s="26">
        <f>859658*0.001</f>
        <v>859.658</v>
      </c>
      <c r="L33" s="26">
        <f>744065*0.001</f>
        <v>744.065</v>
      </c>
      <c r="M33" s="26">
        <f>685828*0.001</f>
        <v>685.828</v>
      </c>
      <c r="N33" s="26">
        <f>662500*0.001</f>
        <v>662.5</v>
      </c>
      <c r="O33" s="26">
        <f>1242931*0.001</f>
        <v>1242.931</v>
      </c>
    </row>
    <row r="34" spans="1:16" s="10" customFormat="1" ht="15.75" customHeight="1">
      <c r="A34" s="21" t="s">
        <v>26</v>
      </c>
      <c r="B34" s="22">
        <f t="shared" si="3"/>
        <v>4</v>
      </c>
      <c r="C34" s="23" t="s">
        <v>14</v>
      </c>
      <c r="D34" s="27">
        <v>0</v>
      </c>
      <c r="E34" s="24">
        <v>1</v>
      </c>
      <c r="F34" s="24">
        <v>2</v>
      </c>
      <c r="G34" s="27">
        <v>0</v>
      </c>
      <c r="H34" s="24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1"/>
    </row>
    <row r="35" spans="1:16" s="10" customFormat="1" ht="15.75" customHeight="1">
      <c r="A35" s="21"/>
      <c r="B35" s="25">
        <f t="shared" si="3"/>
        <v>10</v>
      </c>
      <c r="C35" s="23" t="s">
        <v>29</v>
      </c>
      <c r="D35" s="26" t="s">
        <v>16</v>
      </c>
      <c r="E35" s="26">
        <f>2000*0.001</f>
        <v>2</v>
      </c>
      <c r="F35" s="26">
        <f>6000*0.001</f>
        <v>6</v>
      </c>
      <c r="G35" s="26">
        <v>0</v>
      </c>
      <c r="H35" s="26">
        <f>2000*0.001</f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1"/>
    </row>
    <row r="36" spans="1:16" s="10" customFormat="1" ht="15.75" customHeight="1">
      <c r="A36" s="21" t="s">
        <v>27</v>
      </c>
      <c r="B36" s="22">
        <f t="shared" si="3"/>
        <v>8</v>
      </c>
      <c r="C36" s="23" t="s">
        <v>14</v>
      </c>
      <c r="D36" s="24">
        <v>8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11"/>
    </row>
    <row r="37" spans="1:16" s="10" customFormat="1" ht="15.75" customHeight="1">
      <c r="A37" s="21"/>
      <c r="B37" s="25">
        <f t="shared" si="3"/>
        <v>0.44</v>
      </c>
      <c r="C37" s="23" t="s">
        <v>29</v>
      </c>
      <c r="D37" s="26">
        <f>440*0.001</f>
        <v>0.44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11"/>
    </row>
    <row r="38" spans="1:16" s="10" customFormat="1" ht="15.75" customHeight="1">
      <c r="A38" s="30" t="s">
        <v>32</v>
      </c>
      <c r="B38" s="22">
        <f t="shared" si="3"/>
        <v>12.4</v>
      </c>
      <c r="C38" s="23" t="s">
        <v>14</v>
      </c>
      <c r="D38" s="24">
        <v>1</v>
      </c>
      <c r="E38" s="24">
        <v>4</v>
      </c>
      <c r="F38" s="24">
        <v>5.4</v>
      </c>
      <c r="G38" s="27">
        <v>0</v>
      </c>
      <c r="H38" s="24">
        <v>2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11"/>
    </row>
    <row r="39" spans="1:16" s="10" customFormat="1" ht="15.75" customHeight="1">
      <c r="A39" s="21"/>
      <c r="B39" s="25">
        <f t="shared" si="3"/>
        <v>3.8200000000000003</v>
      </c>
      <c r="C39" s="23" t="s">
        <v>29</v>
      </c>
      <c r="D39" s="26">
        <f>100*0.001</f>
        <v>0.1</v>
      </c>
      <c r="E39" s="26">
        <f>1000*0.001</f>
        <v>1</v>
      </c>
      <c r="F39" s="26">
        <f>1120*0.001</f>
        <v>1.12</v>
      </c>
      <c r="G39" s="26">
        <v>0</v>
      </c>
      <c r="H39" s="26">
        <f>1600*0.001</f>
        <v>1.6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11"/>
    </row>
    <row r="40" spans="1:15" s="10" customFormat="1" ht="15.75" customHeight="1">
      <c r="A40" s="21" t="s">
        <v>28</v>
      </c>
      <c r="B40" s="22">
        <f t="shared" si="3"/>
        <v>141.79999999999998</v>
      </c>
      <c r="C40" s="23" t="s">
        <v>14</v>
      </c>
      <c r="D40" s="24">
        <v>1.3</v>
      </c>
      <c r="E40" s="24">
        <v>25</v>
      </c>
      <c r="F40" s="24">
        <v>68</v>
      </c>
      <c r="G40" s="24">
        <v>19.8</v>
      </c>
      <c r="H40" s="27">
        <v>0</v>
      </c>
      <c r="I40" s="24">
        <v>4.1</v>
      </c>
      <c r="J40" s="24">
        <v>23.6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6" s="10" customFormat="1" ht="15.75" customHeight="1">
      <c r="A41" s="21"/>
      <c r="B41" s="25">
        <f t="shared" si="3"/>
        <v>267.219</v>
      </c>
      <c r="C41" s="23" t="s">
        <v>29</v>
      </c>
      <c r="D41" s="26">
        <f>3036*0.001</f>
        <v>3.036</v>
      </c>
      <c r="E41" s="26">
        <f>47640*0.001</f>
        <v>47.64</v>
      </c>
      <c r="F41" s="26">
        <f>129577*0.001</f>
        <v>129.577</v>
      </c>
      <c r="G41" s="26">
        <f>26360*0.001</f>
        <v>26.36</v>
      </c>
      <c r="H41" s="26">
        <v>0</v>
      </c>
      <c r="I41" s="26">
        <f>6256*0.001</f>
        <v>6.256</v>
      </c>
      <c r="J41" s="26">
        <f>54350*0.001</f>
        <v>54.35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11"/>
    </row>
    <row r="42" spans="1:16" s="10" customFormat="1" ht="15.75" customHeight="1">
      <c r="A42" s="21" t="s">
        <v>2</v>
      </c>
      <c r="B42" s="22">
        <f t="shared" si="3"/>
        <v>1706.1999999999998</v>
      </c>
      <c r="C42" s="23" t="s">
        <v>12</v>
      </c>
      <c r="D42" s="24">
        <v>382</v>
      </c>
      <c r="E42" s="24">
        <v>671.8</v>
      </c>
      <c r="F42" s="24">
        <v>248</v>
      </c>
      <c r="G42" s="24">
        <v>121</v>
      </c>
      <c r="H42" s="24">
        <v>9</v>
      </c>
      <c r="I42" s="27">
        <v>0</v>
      </c>
      <c r="J42" s="24">
        <v>83.5</v>
      </c>
      <c r="K42" s="24">
        <v>2.5</v>
      </c>
      <c r="L42" s="24">
        <v>126.6</v>
      </c>
      <c r="M42" s="24">
        <v>30</v>
      </c>
      <c r="N42" s="24">
        <v>31.8</v>
      </c>
      <c r="O42" s="27">
        <v>0</v>
      </c>
      <c r="P42" s="11"/>
    </row>
    <row r="43" spans="1:16" s="10" customFormat="1" ht="15.75" customHeight="1">
      <c r="A43" s="21"/>
      <c r="B43" s="25">
        <f t="shared" si="3"/>
        <v>402.007</v>
      </c>
      <c r="C43" s="23" t="s">
        <v>29</v>
      </c>
      <c r="D43" s="26">
        <f>87700*0.001</f>
        <v>87.7</v>
      </c>
      <c r="E43" s="26">
        <f>175807*0.001</f>
        <v>175.80700000000002</v>
      </c>
      <c r="F43" s="26">
        <f>25300*0.001</f>
        <v>25.3</v>
      </c>
      <c r="G43" s="26">
        <f>12600*0.001</f>
        <v>12.6</v>
      </c>
      <c r="H43" s="26">
        <f>900*0.001</f>
        <v>0.9</v>
      </c>
      <c r="I43" s="26">
        <v>0</v>
      </c>
      <c r="J43" s="26">
        <f>15800*0.001</f>
        <v>15.8</v>
      </c>
      <c r="K43" s="26">
        <f>500*0.001</f>
        <v>0.5</v>
      </c>
      <c r="L43" s="26">
        <f>52500*0.001</f>
        <v>52.5</v>
      </c>
      <c r="M43" s="26">
        <f>15000*0.001</f>
        <v>15</v>
      </c>
      <c r="N43" s="26">
        <f>15900*0.001</f>
        <v>15.9</v>
      </c>
      <c r="O43" s="26">
        <v>0</v>
      </c>
      <c r="P43" s="11"/>
    </row>
    <row r="44" spans="1:16" s="10" customFormat="1" ht="15.75" customHeight="1">
      <c r="A44" s="21" t="s">
        <v>3</v>
      </c>
      <c r="B44" s="22">
        <f t="shared" si="3"/>
        <v>1466.2</v>
      </c>
      <c r="C44" s="23" t="s">
        <v>12</v>
      </c>
      <c r="D44" s="24">
        <v>89.5</v>
      </c>
      <c r="E44" s="24">
        <v>29.5</v>
      </c>
      <c r="F44" s="24">
        <v>62.9</v>
      </c>
      <c r="G44" s="24">
        <v>54.6</v>
      </c>
      <c r="H44" s="24">
        <v>388</v>
      </c>
      <c r="I44" s="24">
        <v>217</v>
      </c>
      <c r="J44" s="24">
        <v>423.8</v>
      </c>
      <c r="K44" s="24">
        <v>101</v>
      </c>
      <c r="L44" s="24">
        <v>9.9</v>
      </c>
      <c r="M44" s="24">
        <v>13.8</v>
      </c>
      <c r="N44" s="24">
        <v>31</v>
      </c>
      <c r="O44" s="24">
        <v>45.2</v>
      </c>
      <c r="P44" s="11"/>
    </row>
    <row r="45" spans="1:16" s="10" customFormat="1" ht="15.75" customHeight="1" thickBot="1">
      <c r="A45" s="31"/>
      <c r="B45" s="32">
        <f t="shared" si="3"/>
        <v>1273.027</v>
      </c>
      <c r="C45" s="33" t="s">
        <v>29</v>
      </c>
      <c r="D45" s="34">
        <f>76775*0.001</f>
        <v>76.775</v>
      </c>
      <c r="E45" s="35">
        <f>25820*0.001</f>
        <v>25.82</v>
      </c>
      <c r="F45" s="35">
        <f>15490*0.001</f>
        <v>15.49</v>
      </c>
      <c r="G45" s="35">
        <f>26380*0.001</f>
        <v>26.38</v>
      </c>
      <c r="H45" s="35">
        <f>387759*0.001</f>
        <v>387.759</v>
      </c>
      <c r="I45" s="35">
        <f>200005*0.001</f>
        <v>200.005</v>
      </c>
      <c r="J45" s="35">
        <f>325555*0.001</f>
        <v>325.555</v>
      </c>
      <c r="K45" s="35">
        <f>145734*0.001</f>
        <v>145.734</v>
      </c>
      <c r="L45" s="35">
        <f>7136*0.001</f>
        <v>7.136</v>
      </c>
      <c r="M45" s="35">
        <f>10459*0.001</f>
        <v>10.459</v>
      </c>
      <c r="N45" s="35">
        <f>24029*0.001</f>
        <v>24.029</v>
      </c>
      <c r="O45" s="35">
        <f>27885*0.001</f>
        <v>27.885</v>
      </c>
      <c r="P45" s="11"/>
    </row>
    <row r="46" spans="1:15" ht="13.5" customHeight="1">
      <c r="A46" s="5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N46" s="12"/>
      <c r="O46" s="12" t="s">
        <v>4</v>
      </c>
    </row>
    <row r="47" spans="1:15" ht="13.5" customHeight="1">
      <c r="A47" s="5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3"/>
      <c r="N47" s="3"/>
      <c r="O47" s="3"/>
    </row>
    <row r="48" spans="1:15" ht="25.5" customHeight="1">
      <c r="A48" s="5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3"/>
      <c r="N48" s="3"/>
      <c r="O48" s="3"/>
    </row>
    <row r="49" spans="1:15" ht="25.5" customHeight="1">
      <c r="A49" s="5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3"/>
      <c r="N49" s="3"/>
      <c r="O49" s="3"/>
    </row>
    <row r="50" spans="1:15" ht="25.5" customHeight="1">
      <c r="A50" s="5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3"/>
      <c r="N50" s="3"/>
      <c r="O50" s="3"/>
    </row>
    <row r="51" spans="1:15" ht="25.5" customHeight="1">
      <c r="A51" s="5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  <c r="N51" s="3"/>
      <c r="O51" s="3"/>
    </row>
  </sheetData>
  <sheetProtection/>
  <mergeCells count="1">
    <mergeCell ref="B3:C3"/>
  </mergeCells>
  <printOptions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2012-06-05T08:30:38Z</cp:lastPrinted>
  <dcterms:created xsi:type="dcterms:W3CDTF">2003-05-16T07:07:46Z</dcterms:created>
  <dcterms:modified xsi:type="dcterms:W3CDTF">2012-06-28T06:06:19Z</dcterms:modified>
  <cp:category/>
  <cp:version/>
  <cp:contentType/>
  <cp:contentStatus/>
</cp:coreProperties>
</file>